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E0544130\Documents\"/>
    </mc:Choice>
  </mc:AlternateContent>
  <xr:revisionPtr revIDLastSave="0" documentId="13_ncr:1_{B25E8D8E-C3D2-41E5-8E2E-A3E14137B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__OpenSolver__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C54" i="1"/>
  <c r="J55" i="1"/>
  <c r="A10" i="2"/>
  <c r="A9" i="2"/>
  <c r="A8" i="2"/>
  <c r="A7" i="2"/>
  <c r="A6" i="2"/>
  <c r="A5" i="2"/>
  <c r="A4" i="2"/>
  <c r="A3" i="2"/>
  <c r="A2" i="2"/>
  <c r="A1" i="2"/>
  <c r="I55" i="1"/>
  <c r="D55" i="1"/>
  <c r="O54" i="1"/>
  <c r="J54" i="1"/>
  <c r="H54" i="1"/>
  <c r="G54" i="1"/>
  <c r="D53" i="1"/>
  <c r="D56" i="1" s="1"/>
  <c r="O53" i="1"/>
  <c r="J53" i="1" s="1"/>
  <c r="H53" i="1"/>
  <c r="G53" i="1"/>
  <c r="O52" i="1"/>
  <c r="J52" i="1"/>
  <c r="H52" i="1"/>
  <c r="G52" i="1"/>
  <c r="O51" i="1"/>
  <c r="J51" i="1" s="1"/>
  <c r="H51" i="1"/>
  <c r="G51" i="1"/>
  <c r="O50" i="1"/>
  <c r="J50" i="1"/>
  <c r="H50" i="1"/>
  <c r="G50" i="1"/>
  <c r="O49" i="1"/>
  <c r="J49" i="1" s="1"/>
  <c r="H49" i="1"/>
  <c r="G49" i="1"/>
  <c r="E49" i="1"/>
  <c r="O48" i="1"/>
  <c r="J48" i="1"/>
  <c r="H48" i="1"/>
  <c r="G48" i="1"/>
  <c r="E48" i="1"/>
  <c r="O47" i="1"/>
  <c r="J47" i="1"/>
  <c r="H47" i="1"/>
  <c r="G47" i="1"/>
  <c r="E47" i="1"/>
  <c r="O46" i="1"/>
  <c r="J46" i="1" s="1"/>
  <c r="H46" i="1"/>
  <c r="G46" i="1"/>
  <c r="E46" i="1"/>
  <c r="O45" i="1"/>
  <c r="J45" i="1" s="1"/>
  <c r="H45" i="1"/>
  <c r="G45" i="1"/>
  <c r="E45" i="1"/>
  <c r="O44" i="1"/>
  <c r="J44" i="1" s="1"/>
  <c r="H44" i="1"/>
  <c r="G44" i="1"/>
  <c r="O43" i="1"/>
  <c r="J43" i="1"/>
  <c r="H43" i="1"/>
  <c r="G43" i="1"/>
  <c r="O42" i="1"/>
  <c r="J42" i="1"/>
  <c r="H42" i="1"/>
  <c r="G42" i="1"/>
  <c r="J41" i="1"/>
  <c r="I41" i="1"/>
  <c r="H41" i="1"/>
  <c r="E41" i="1"/>
  <c r="E40" i="1"/>
  <c r="E39" i="1"/>
  <c r="J38" i="1"/>
  <c r="E38" i="1"/>
  <c r="J37" i="1"/>
  <c r="E37" i="1"/>
  <c r="J36" i="1"/>
  <c r="E36" i="1"/>
  <c r="J35" i="1"/>
  <c r="J34" i="1"/>
  <c r="J33" i="1"/>
  <c r="J32" i="1"/>
  <c r="E32" i="1"/>
  <c r="J31" i="1"/>
  <c r="E31" i="1"/>
  <c r="J30" i="1"/>
  <c r="E30" i="1"/>
  <c r="C23" i="1"/>
  <c r="C24" i="1" s="1"/>
  <c r="B23" i="1"/>
  <c r="B22" i="1"/>
  <c r="B21" i="1"/>
  <c r="E33" i="1" l="1"/>
  <c r="E50" i="1"/>
  <c r="J39" i="1"/>
  <c r="O55" i="1"/>
  <c r="E42" i="1"/>
  <c r="C25" i="1" l="1"/>
  <c r="C26" i="1" s="1"/>
  <c r="B17" i="1" l="1"/>
  <c r="M19" i="1"/>
  <c r="N19" i="1" s="1"/>
  <c r="O19" i="1" s="1"/>
  <c r="P19" i="1" s="1"/>
  <c r="Q19" i="1" s="1"/>
</calcChain>
</file>

<file path=xl/sharedStrings.xml><?xml version="1.0" encoding="utf-8"?>
<sst xmlns="http://schemas.openxmlformats.org/spreadsheetml/2006/main" count="165" uniqueCount="107">
  <si>
    <t>Version:</t>
  </si>
  <si>
    <t>2025 V1</t>
  </si>
  <si>
    <t>How to find your class</t>
  </si>
  <si>
    <t>Classes are as follows</t>
  </si>
  <si>
    <t>A</t>
  </si>
  <si>
    <t>GREATER THAN</t>
  </si>
  <si>
    <t>Insert your car's competition weight including driver into section 1</t>
  </si>
  <si>
    <t>lb/hp</t>
  </si>
  <si>
    <t>Boolean</t>
  </si>
  <si>
    <t>Modifier Column</t>
  </si>
  <si>
    <t>If you have a dyno sheet with the WHP of your car, select yes on question 2 in section 1</t>
  </si>
  <si>
    <t>B</t>
  </si>
  <si>
    <t>lb/hp to</t>
  </si>
  <si>
    <t>YES</t>
  </si>
  <si>
    <t>FWD</t>
  </si>
  <si>
    <t>If you don't, select no, input the factory advertised SAE horsepower of your engine in stock form. Then select the drivetrain layout</t>
  </si>
  <si>
    <t>NO</t>
  </si>
  <si>
    <t>RWD</t>
  </si>
  <si>
    <t>Fill out section 2, factory installed aero devices count towards your total. If you have multiple aero devices of the same type</t>
  </si>
  <si>
    <t>C</t>
  </si>
  <si>
    <t>AWD</t>
  </si>
  <si>
    <t>increase the counter by 1 per unique type of aero device. e.g. Fender vents on all 4 fenders counts as 1 item</t>
  </si>
  <si>
    <t>fill out sections 3-6, select yes for every feature that your car has including factory installed features</t>
  </si>
  <si>
    <t>D</t>
  </si>
  <si>
    <t>For the tire width in section 5, input the widest tire on the car if running staggered tires</t>
  </si>
  <si>
    <t>200 or higher</t>
  </si>
  <si>
    <t>If you have a dyno sheet, section 7 will be greyed out. If you don't, input every modification to the engine over stock</t>
  </si>
  <si>
    <t>E</t>
  </si>
  <si>
    <t>199-100</t>
  </si>
  <si>
    <t>After all of the sections have been filled out, the class indicated at the top of Section 1 is the class you should register for.</t>
  </si>
  <si>
    <t>99-40</t>
  </si>
  <si>
    <t>F</t>
  </si>
  <si>
    <t>Non-DOT/Hoosier A7</t>
  </si>
  <si>
    <t>G</t>
  </si>
  <si>
    <t>OR LESS</t>
  </si>
  <si>
    <t>Calculated column</t>
  </si>
  <si>
    <t>Min weight 1</t>
  </si>
  <si>
    <t>new tire ratio</t>
  </si>
  <si>
    <t>New modifier</t>
  </si>
  <si>
    <t xml:space="preserve">difference </t>
  </si>
  <si>
    <t>new total mod</t>
  </si>
  <si>
    <t>Minimum competition weight of car, driver, and safety equipment</t>
  </si>
  <si>
    <t>Have you used a dyno to get the WHP of your car?</t>
  </si>
  <si>
    <t>Input Cell for classification</t>
  </si>
  <si>
    <t>iteration 2</t>
  </si>
  <si>
    <t>Calculated value</t>
  </si>
  <si>
    <t>Base Power to Weight Ratio</t>
  </si>
  <si>
    <t>class min</t>
  </si>
  <si>
    <t>Total Modifiers</t>
  </si>
  <si>
    <t>Classing Power to Weight</t>
  </si>
  <si>
    <t>Aero</t>
  </si>
  <si>
    <t>P:W penalty</t>
  </si>
  <si>
    <t>Number of items</t>
  </si>
  <si>
    <t>Modifier</t>
  </si>
  <si>
    <t>Suspension</t>
  </si>
  <si>
    <t>Yes/No</t>
  </si>
  <si>
    <t>Simple spoiler, fixed single element wing, side skirts, air dam, 
canards, vortex generators (-.1 per set)</t>
  </si>
  <si>
    <t>aftermarket camber adjustment plate</t>
  </si>
  <si>
    <t>Rear Diffuser, Flat underbody, Single piece 
clamshell, splitter, fender vents, hood vents,
 splitter diffusers (-.2 per set)</t>
  </si>
  <si>
    <t>altered ball joints</t>
  </si>
  <si>
    <t>Multi-plane fixed wing, active aero (-.4 each)</t>
  </si>
  <si>
    <t>offset bushings</t>
  </si>
  <si>
    <t>Total Aero</t>
  </si>
  <si>
    <t>modified OEM shocks, non-adjustable aftermarket shocks,
 single adjustable shocks</t>
  </si>
  <si>
    <t>Brakes</t>
  </si>
  <si>
    <t>Two piece rotors, Floating or semi-floating rotors</t>
  </si>
  <si>
    <t>Corner balancing system (coilovers, adjustable spring perches, etc.)</t>
  </si>
  <si>
    <t>Multi-master cylinder system</t>
  </si>
  <si>
    <t>Non-OEM suspension mounting points</t>
  </si>
  <si>
    <t>ABS reprogram or swap</t>
  </si>
  <si>
    <t>Electronic/in-car adjustable shocks (OEM or Aftermarket)</t>
  </si>
  <si>
    <t>6 or more piston brake systems</t>
  </si>
  <si>
    <t>Total Suspension</t>
  </si>
  <si>
    <t>non-ferrous rotors</t>
  </si>
  <si>
    <t>Race derived ABS/Traction Control system</t>
  </si>
  <si>
    <r>
      <rPr>
        <sz val="15"/>
        <color rgb="FF000000"/>
        <rFont val="Arial"/>
        <family val="2"/>
      </rPr>
      <t xml:space="preserve">Engine </t>
    </r>
    <r>
      <rPr>
        <sz val="10"/>
        <color rgb="FF000000"/>
        <rFont val="Arial"/>
        <family val="2"/>
      </rPr>
      <t>(Not applicable if you have the dyno power of you car)</t>
    </r>
  </si>
  <si>
    <t>Engine</t>
  </si>
  <si>
    <t>Total Brakes</t>
  </si>
  <si>
    <t>Header swap or modification</t>
  </si>
  <si>
    <t>Injector/carburetor swap or modification</t>
  </si>
  <si>
    <t>Drivetrain</t>
  </si>
  <si>
    <t>intake manifold swap or modification</t>
  </si>
  <si>
    <t>Electronically Controlled Differential, Aftermarket differential</t>
  </si>
  <si>
    <t>performance cam or regrind</t>
  </si>
  <si>
    <t>Straight cut differential/trans gears</t>
  </si>
  <si>
    <t>oversized valves</t>
  </si>
  <si>
    <t>Direct shift gearbox</t>
  </si>
  <si>
    <t>stroke increase</t>
  </si>
  <si>
    <t>DCT or any electronically actuated or controlled transmission (DSG/ZF)</t>
  </si>
  <si>
    <t>compression ratio increase</t>
  </si>
  <si>
    <t>Sequential transmission</t>
  </si>
  <si>
    <t>overbore (0.060+ over)</t>
  </si>
  <si>
    <t>Total Drivetrain</t>
  </si>
  <si>
    <t>head porting</t>
  </si>
  <si>
    <t>head swap</t>
  </si>
  <si>
    <t>Tire Width and Tread Wear</t>
  </si>
  <si>
    <t>programmable, flashed, or chipped ECU/Tune on a NATURALLY ASPIRATED ENGINE</t>
  </si>
  <si>
    <t>Tire Width (mm)</t>
  </si>
  <si>
    <t>Weight to tire ratio</t>
  </si>
  <si>
    <r>
      <rPr>
        <sz val="10"/>
        <color theme="1"/>
        <rFont val="Arial"/>
        <family val="2"/>
      </rPr>
      <t>Forced induction added to naturally aspirated vehicle and/or programmable flashed or 
chipped ECU/Tune with no boost limits (</t>
    </r>
    <r>
      <rPr>
        <b/>
        <sz val="10"/>
        <color theme="1"/>
        <rFont val="Arial"/>
        <family val="2"/>
      </rPr>
      <t>dyno classing strongly preferred)</t>
    </r>
  </si>
  <si>
    <t>DOT Treadwear rating</t>
  </si>
  <si>
    <t>total engine</t>
  </si>
  <si>
    <t>Total tire</t>
  </si>
  <si>
    <t>Your Class</t>
  </si>
  <si>
    <t>3-4 way adjustable shocks</t>
  </si>
  <si>
    <t>two way adjustable shocks, shocks with remote reservoirs</t>
  </si>
  <si>
    <t>programmable, flashed, or chipped ECU/Tune on a STOCK TURBO/SUPERCHARGED ENGINE up to 5psi over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</si>
</sst>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7"/>
      <color theme="1"/>
      <name val="Arial"/>
      <family val="2"/>
      <scheme val="minor"/>
    </font>
    <font>
      <sz val="10"/>
      <name val="Arial"/>
      <family val="2"/>
    </font>
    <font>
      <sz val="10"/>
      <color rgb="FFFFFFFF"/>
      <name val="Arial"/>
      <family val="2"/>
      <scheme val="minor"/>
    </font>
    <font>
      <b/>
      <sz val="17"/>
      <color theme="1"/>
      <name val="Arial"/>
      <family val="2"/>
      <scheme val="minor"/>
    </font>
    <font>
      <sz val="15"/>
      <color theme="1"/>
      <name val="Arial"/>
      <family val="2"/>
      <scheme val="minor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36"/>
      <color rgb="FF000000"/>
      <name val="Aptos Black"/>
      <family val="2"/>
    </font>
    <font>
      <sz val="10"/>
      <color rgb="FF000000"/>
      <name val="Aptos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7"/>
        <bgColor theme="7"/>
      </patternFill>
    </fill>
    <fill>
      <patternFill patternType="solid">
        <fgColor rgb="FF9900FF"/>
        <bgColor rgb="FF9900FF"/>
      </patternFill>
    </fill>
    <fill>
      <patternFill patternType="solid">
        <fgColor theme="1"/>
        <bgColor theme="1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4A86E8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/>
    <xf numFmtId="0" fontId="1" fillId="3" borderId="5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 applyAlignment="1"/>
    <xf numFmtId="0" fontId="1" fillId="3" borderId="9" xfId="0" applyFont="1" applyFill="1" applyBorder="1" applyAlignment="1"/>
    <xf numFmtId="0" fontId="1" fillId="3" borderId="0" xfId="0" applyFont="1" applyFill="1" applyAlignment="1"/>
    <xf numFmtId="0" fontId="1" fillId="3" borderId="10" xfId="0" applyFont="1" applyFill="1" applyBorder="1" applyAlignment="1"/>
    <xf numFmtId="0" fontId="1" fillId="3" borderId="5" xfId="0" applyFont="1" applyFill="1" applyBorder="1" applyAlignment="1">
      <alignment horizontal="right"/>
    </xf>
    <xf numFmtId="0" fontId="1" fillId="0" borderId="10" xfId="0" applyFont="1" applyBorder="1" applyAlignment="1"/>
    <xf numFmtId="0" fontId="1" fillId="0" borderId="12" xfId="0" applyFont="1" applyBorder="1" applyAlignment="1"/>
    <xf numFmtId="0" fontId="1" fillId="0" borderId="13" xfId="0" applyFont="1" applyBorder="1"/>
    <xf numFmtId="0" fontId="1" fillId="0" borderId="0" xfId="0" applyFont="1"/>
    <xf numFmtId="0" fontId="1" fillId="0" borderId="17" xfId="0" applyFont="1" applyBorder="1" applyAlignment="1"/>
    <xf numFmtId="0" fontId="1" fillId="8" borderId="18" xfId="0" applyFont="1" applyFill="1" applyBorder="1" applyAlignment="1"/>
    <xf numFmtId="0" fontId="1" fillId="0" borderId="17" xfId="0" applyFont="1" applyBorder="1"/>
    <xf numFmtId="0" fontId="1" fillId="9" borderId="18" xfId="0" applyFont="1" applyFill="1" applyBorder="1"/>
    <xf numFmtId="164" fontId="1" fillId="9" borderId="18" xfId="0" applyNumberFormat="1" applyFont="1" applyFill="1" applyBorder="1"/>
    <xf numFmtId="0" fontId="1" fillId="0" borderId="19" xfId="0" applyFont="1" applyBorder="1" applyAlignment="1"/>
    <xf numFmtId="164" fontId="1" fillId="9" borderId="20" xfId="0" applyNumberFormat="1" applyFont="1" applyFill="1" applyBorder="1"/>
    <xf numFmtId="0" fontId="6" fillId="0" borderId="15" xfId="0" applyFont="1" applyBorder="1" applyAlignment="1"/>
    <xf numFmtId="0" fontId="1" fillId="0" borderId="21" xfId="0" applyFont="1" applyBorder="1" applyAlignment="1"/>
    <xf numFmtId="0" fontId="1" fillId="0" borderId="16" xfId="0" applyFont="1" applyBorder="1" applyAlignment="1"/>
    <xf numFmtId="0" fontId="1" fillId="0" borderId="22" xfId="0" applyFont="1" applyBorder="1" applyAlignment="1"/>
    <xf numFmtId="0" fontId="1" fillId="8" borderId="22" xfId="0" applyFont="1" applyFill="1" applyBorder="1" applyAlignment="1"/>
    <xf numFmtId="0" fontId="1" fillId="0" borderId="14" xfId="0" applyFont="1" applyBorder="1"/>
    <xf numFmtId="0" fontId="1" fillId="0" borderId="23" xfId="0" applyFont="1" applyBorder="1"/>
    <xf numFmtId="0" fontId="1" fillId="9" borderId="13" xfId="0" applyFont="1" applyFill="1" applyBorder="1"/>
    <xf numFmtId="0" fontId="1" fillId="0" borderId="12" xfId="0" applyFont="1" applyBorder="1"/>
    <xf numFmtId="0" fontId="7" fillId="0" borderId="15" xfId="0" applyFont="1" applyBorder="1" applyAlignment="1"/>
    <xf numFmtId="0" fontId="1" fillId="0" borderId="21" xfId="0" applyFont="1" applyBorder="1"/>
    <xf numFmtId="0" fontId="1" fillId="0" borderId="16" xfId="0" applyFont="1" applyBorder="1"/>
    <xf numFmtId="0" fontId="6" fillId="0" borderId="0" xfId="0" applyFont="1" applyAlignment="1"/>
    <xf numFmtId="0" fontId="1" fillId="0" borderId="24" xfId="0" applyFont="1" applyBorder="1" applyAlignment="1"/>
    <xf numFmtId="0" fontId="1" fillId="0" borderId="22" xfId="0" applyFont="1" applyBorder="1"/>
    <xf numFmtId="0" fontId="1" fillId="3" borderId="22" xfId="0" applyFont="1" applyFill="1" applyBorder="1" applyAlignment="1"/>
    <xf numFmtId="0" fontId="1" fillId="3" borderId="0" xfId="0" applyFont="1" applyFill="1"/>
    <xf numFmtId="0" fontId="1" fillId="10" borderId="18" xfId="0" applyFont="1" applyFill="1" applyBorder="1"/>
    <xf numFmtId="0" fontId="1" fillId="3" borderId="14" xfId="0" applyFont="1" applyFill="1" applyBorder="1"/>
    <xf numFmtId="0" fontId="1" fillId="3" borderId="12" xfId="0" applyFont="1" applyFill="1" applyBorder="1"/>
    <xf numFmtId="0" fontId="12" fillId="8" borderId="27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0" xfId="0" applyFont="1" applyAlignment="1"/>
    <xf numFmtId="0" fontId="3" fillId="0" borderId="4" xfId="0" applyFont="1" applyBorder="1"/>
    <xf numFmtId="0" fontId="1" fillId="6" borderId="7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1" xfId="0" applyFont="1" applyBorder="1"/>
    <xf numFmtId="0" fontId="5" fillId="4" borderId="3" xfId="0" applyFont="1" applyFill="1" applyBorder="1" applyAlignment="1">
      <alignment vertical="center"/>
    </xf>
    <xf numFmtId="0" fontId="3" fillId="0" borderId="13" xfId="0" applyFont="1" applyBorder="1"/>
    <xf numFmtId="165" fontId="1" fillId="9" borderId="25" xfId="0" applyNumberFormat="1" applyFont="1" applyFill="1" applyBorder="1"/>
    <xf numFmtId="0" fontId="3" fillId="0" borderId="26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4" xfId="0" applyFont="1" applyBorder="1" applyAlignment="1"/>
    <xf numFmtId="0" fontId="1" fillId="8" borderId="30" xfId="0" applyFont="1" applyFill="1" applyBorder="1" applyAlignment="1"/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3" fillId="11" borderId="4" xfId="0" applyFont="1" applyFill="1" applyBorder="1"/>
  </cellXfs>
  <cellStyles count="1">
    <cellStyle name="Normal" xfId="0" builtinId="0"/>
  </cellStyles>
  <dxfs count="7"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rgb="FF00B0F0"/>
        </patternFill>
      </fill>
    </dxf>
    <dxf>
      <fill>
        <patternFill>
          <bgColor rgb="FF8C3FC5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C3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66453</xdr:colOff>
      <xdr:row>0</xdr:row>
      <xdr:rowOff>132907</xdr:rowOff>
    </xdr:from>
    <xdr:to>
      <xdr:col>4</xdr:col>
      <xdr:colOff>542703</xdr:colOff>
      <xdr:row>15</xdr:row>
      <xdr:rowOff>58632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348239-D115-5264-EBE7-36BDA0FA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889" y="132907"/>
          <a:ext cx="2635988" cy="2553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0"/>
  <sheetViews>
    <sheetView showGridLines="0" tabSelected="1" zoomScale="75" workbookViewId="0">
      <selection activeCell="G27" sqref="G27"/>
    </sheetView>
  </sheetViews>
  <sheetFormatPr defaultColWidth="21.7109375" defaultRowHeight="15.75" customHeight="1" zeroHeight="1" x14ac:dyDescent="0.2"/>
  <cols>
    <col min="1" max="1" width="7" customWidth="1"/>
    <col min="2" max="2" width="110.42578125" bestFit="1" customWidth="1"/>
    <col min="3" max="3" width="15.7109375" bestFit="1" customWidth="1"/>
    <col min="4" max="4" width="16.5703125" bestFit="1" customWidth="1"/>
    <col min="5" max="5" width="9" bestFit="1" customWidth="1"/>
    <col min="6" max="6" width="7.85546875" bestFit="1" customWidth="1"/>
    <col min="7" max="7" width="148.5703125" bestFit="1" customWidth="1"/>
    <col min="8" max="8" width="13.42578125" customWidth="1"/>
    <col min="9" max="9" width="17.42578125" customWidth="1"/>
    <col min="10" max="10" width="9" bestFit="1" customWidth="1"/>
  </cols>
  <sheetData>
    <row r="1" spans="1:15" ht="12.75" x14ac:dyDescent="0.2">
      <c r="B1" s="62"/>
      <c r="F1" s="1" t="s">
        <v>0</v>
      </c>
      <c r="G1" s="49" t="s">
        <v>1</v>
      </c>
      <c r="H1" s="50"/>
    </row>
    <row r="2" spans="1:15" ht="13.5" thickBot="1" x14ac:dyDescent="0.25">
      <c r="B2" s="63"/>
      <c r="G2" s="51" t="s">
        <v>3</v>
      </c>
      <c r="H2" s="50"/>
    </row>
    <row r="3" spans="1:15" ht="12.75" x14ac:dyDescent="0.2">
      <c r="B3" s="63"/>
      <c r="G3" s="56" t="s">
        <v>33</v>
      </c>
      <c r="H3" s="3" t="s">
        <v>5</v>
      </c>
      <c r="I3" s="4"/>
    </row>
    <row r="4" spans="1:15" ht="22.5" thickBot="1" x14ac:dyDescent="0.35">
      <c r="B4" s="2" t="s">
        <v>2</v>
      </c>
      <c r="G4" s="57"/>
      <c r="H4" s="5">
        <v>19.001000000000001</v>
      </c>
      <c r="I4" s="6" t="s">
        <v>7</v>
      </c>
      <c r="M4" s="1" t="s">
        <v>8</v>
      </c>
      <c r="O4" s="1" t="s">
        <v>9</v>
      </c>
    </row>
    <row r="5" spans="1:15" ht="12.75" x14ac:dyDescent="0.2">
      <c r="A5" s="1">
        <v>1</v>
      </c>
      <c r="B5" s="1" t="s">
        <v>6</v>
      </c>
      <c r="G5" s="55" t="s">
        <v>31</v>
      </c>
      <c r="H5" s="7">
        <v>19</v>
      </c>
      <c r="I5" s="8" t="s">
        <v>12</v>
      </c>
      <c r="M5" s="1" t="s">
        <v>13</v>
      </c>
      <c r="N5" s="1" t="s">
        <v>14</v>
      </c>
      <c r="O5" s="1">
        <v>0.88</v>
      </c>
    </row>
    <row r="6" spans="1:15" ht="12.75" x14ac:dyDescent="0.2">
      <c r="A6" s="1">
        <v>2</v>
      </c>
      <c r="B6" s="1" t="s">
        <v>10</v>
      </c>
      <c r="G6" s="47"/>
      <c r="H6" s="5">
        <v>16.001000000000001</v>
      </c>
      <c r="I6" s="6" t="s">
        <v>7</v>
      </c>
      <c r="M6" s="1" t="s">
        <v>16</v>
      </c>
      <c r="N6" s="1" t="s">
        <v>17</v>
      </c>
      <c r="O6" s="1">
        <v>0.84</v>
      </c>
    </row>
    <row r="7" spans="1:15" ht="12.75" x14ac:dyDescent="0.2">
      <c r="B7" s="1" t="s">
        <v>15</v>
      </c>
      <c r="G7" s="48" t="s">
        <v>27</v>
      </c>
      <c r="H7" s="7">
        <v>16</v>
      </c>
      <c r="I7" s="8" t="s">
        <v>12</v>
      </c>
      <c r="N7" s="1" t="s">
        <v>20</v>
      </c>
      <c r="O7" s="1">
        <v>0.79</v>
      </c>
    </row>
    <row r="8" spans="1:15" ht="12.75" x14ac:dyDescent="0.2">
      <c r="A8" s="1">
        <v>3</v>
      </c>
      <c r="B8" s="1" t="s">
        <v>18</v>
      </c>
      <c r="G8" s="47"/>
      <c r="H8" s="5">
        <v>13.000999999999999</v>
      </c>
      <c r="I8" s="6" t="s">
        <v>7</v>
      </c>
    </row>
    <row r="9" spans="1:15" ht="12.75" x14ac:dyDescent="0.2">
      <c r="B9" s="1" t="s">
        <v>21</v>
      </c>
      <c r="G9" s="70" t="s">
        <v>23</v>
      </c>
      <c r="H9" s="7">
        <v>13</v>
      </c>
      <c r="I9" s="8" t="s">
        <v>12</v>
      </c>
    </row>
    <row r="10" spans="1:15" ht="12.75" x14ac:dyDescent="0.2">
      <c r="A10" s="1">
        <v>4</v>
      </c>
      <c r="B10" s="1" t="s">
        <v>22</v>
      </c>
      <c r="G10" s="71"/>
      <c r="H10" s="5">
        <v>10.000999999999999</v>
      </c>
      <c r="I10" s="6" t="s">
        <v>7</v>
      </c>
      <c r="M10" s="1" t="s">
        <v>25</v>
      </c>
    </row>
    <row r="11" spans="1:15" ht="12.75" x14ac:dyDescent="0.2">
      <c r="B11" s="1" t="s">
        <v>24</v>
      </c>
      <c r="G11" s="54" t="s">
        <v>19</v>
      </c>
      <c r="H11" s="7">
        <v>10</v>
      </c>
      <c r="I11" s="8" t="s">
        <v>12</v>
      </c>
      <c r="M11" s="1" t="s">
        <v>28</v>
      </c>
    </row>
    <row r="12" spans="1:15" ht="12.75" x14ac:dyDescent="0.2">
      <c r="A12" s="1">
        <v>5</v>
      </c>
      <c r="B12" s="1" t="s">
        <v>26</v>
      </c>
      <c r="D12" s="46"/>
      <c r="G12" s="47"/>
      <c r="H12" s="9">
        <v>7.0010000000000003</v>
      </c>
      <c r="I12" s="10" t="s">
        <v>7</v>
      </c>
      <c r="M12" s="1" t="s">
        <v>30</v>
      </c>
    </row>
    <row r="13" spans="1:15" ht="12.75" x14ac:dyDescent="0.2">
      <c r="A13" s="1">
        <v>6</v>
      </c>
      <c r="B13" s="1" t="s">
        <v>29</v>
      </c>
      <c r="G13" s="53" t="s">
        <v>11</v>
      </c>
      <c r="H13" s="7">
        <v>7</v>
      </c>
      <c r="I13" s="8" t="s">
        <v>12</v>
      </c>
      <c r="M13" s="1" t="s">
        <v>32</v>
      </c>
    </row>
    <row r="14" spans="1:15" ht="13.5" thickBot="1" x14ac:dyDescent="0.25">
      <c r="G14" s="47"/>
      <c r="H14" s="11">
        <v>4.0010000000000003</v>
      </c>
      <c r="I14" s="6" t="s">
        <v>7</v>
      </c>
    </row>
    <row r="15" spans="1:15" ht="12.75" x14ac:dyDescent="0.2">
      <c r="G15" s="52" t="s">
        <v>4</v>
      </c>
      <c r="H15" s="1">
        <v>4</v>
      </c>
      <c r="I15" s="12" t="s">
        <v>7</v>
      </c>
    </row>
    <row r="16" spans="1:15" ht="13.5" thickBot="1" x14ac:dyDescent="0.25">
      <c r="G16" s="47"/>
      <c r="H16" s="13" t="s">
        <v>34</v>
      </c>
      <c r="I16" s="14"/>
      <c r="M16" s="1" t="s">
        <v>35</v>
      </c>
    </row>
    <row r="17" spans="1:17" ht="12.75" customHeight="1" x14ac:dyDescent="0.2">
      <c r="A17" s="1">
        <v>1</v>
      </c>
      <c r="B17" s="66" t="str">
        <f xml:space="preserve"> "Class "&amp;M29</f>
        <v>Class C</v>
      </c>
      <c r="C17" s="67"/>
    </row>
    <row r="18" spans="1:17" ht="13.5" thickBot="1" x14ac:dyDescent="0.25">
      <c r="B18" s="68"/>
      <c r="C18" s="69"/>
      <c r="M18" s="1" t="s">
        <v>36</v>
      </c>
      <c r="N18" s="1" t="s">
        <v>37</v>
      </c>
      <c r="O18" s="1" t="s">
        <v>38</v>
      </c>
      <c r="P18" s="1" t="s">
        <v>39</v>
      </c>
      <c r="Q18" s="1" t="s">
        <v>40</v>
      </c>
    </row>
    <row r="19" spans="1:17" ht="13.5" thickBot="1" x14ac:dyDescent="0.25">
      <c r="B19" s="64" t="s">
        <v>41</v>
      </c>
      <c r="C19" s="65">
        <v>3400</v>
      </c>
      <c r="M19" s="15">
        <f>IF(M29="A",(C23+C25)*H4,IF(M29="B",(C23+C25)*H6,IF(M29="C",(C23+C25)*H8,IF(M29="D",(C23+C25)*H10,IF(M29="E",(C23+C25)*H12,IF(M29="F",(C23+C25)*H14,"N/A"))))))</f>
        <v>4685.5603999999994</v>
      </c>
      <c r="N19" s="15">
        <f>M19/C53</f>
        <v>14.874794920634919</v>
      </c>
      <c r="O19" s="15">
        <f>IF(N19&lt;8,-1.2,IF(N19&lt;11,-0.6,0))</f>
        <v>0</v>
      </c>
      <c r="P19" s="15">
        <f>O19-D53</f>
        <v>0.6</v>
      </c>
      <c r="Q19" s="15">
        <f>C25+P19</f>
        <v>-0.20000000000000007</v>
      </c>
    </row>
    <row r="20" spans="1:17" ht="20.25" x14ac:dyDescent="0.3">
      <c r="B20" s="16" t="s">
        <v>42</v>
      </c>
      <c r="C20" s="17" t="s">
        <v>16</v>
      </c>
      <c r="G20" s="43" t="s">
        <v>43</v>
      </c>
      <c r="M20" s="1" t="s">
        <v>44</v>
      </c>
    </row>
    <row r="21" spans="1:17" ht="20.25" x14ac:dyDescent="0.3">
      <c r="B21" s="18" t="str">
        <f>IF(C20="YES","Enter Dyno WHP here","Enter stock engine SAE Advertised HP here")</f>
        <v>Enter stock engine SAE Advertised HP here</v>
      </c>
      <c r="C21" s="17">
        <v>430</v>
      </c>
      <c r="G21" s="44" t="s">
        <v>45</v>
      </c>
      <c r="M21" s="15">
        <v>2559.8969000000002</v>
      </c>
    </row>
    <row r="22" spans="1:17" ht="21" thickBot="1" x14ac:dyDescent="0.35">
      <c r="B22" s="16" t="str">
        <f>IF(C20="YES","", "Drivetrain Configuration")</f>
        <v>Drivetrain Configuration</v>
      </c>
      <c r="C22" s="17" t="s">
        <v>17</v>
      </c>
      <c r="G22" s="45" t="s">
        <v>103</v>
      </c>
    </row>
    <row r="23" spans="1:17" ht="12.75" x14ac:dyDescent="0.2">
      <c r="B23" s="16" t="str">
        <f>IF(C20="YES","","Estimated Dyno HP")</f>
        <v>Estimated Dyno HP</v>
      </c>
      <c r="C23" s="19">
        <f>IF(C20="YES","",IF(C22="FWD",C21*O5,IF(C22="RWD",C21*O6,IF(C22="AWD",C21*O7,"Error"))))</f>
        <v>361.2</v>
      </c>
    </row>
    <row r="24" spans="1:17" ht="12.75" x14ac:dyDescent="0.2">
      <c r="B24" s="16" t="s">
        <v>46</v>
      </c>
      <c r="C24" s="20">
        <f>IF(C20="YES",C19/C21,IF(ISBLANK(C23),"Enter HP",C19/C23))</f>
        <v>9.4130675526024365</v>
      </c>
      <c r="M24" s="1" t="s">
        <v>47</v>
      </c>
    </row>
    <row r="25" spans="1:17" ht="12.75" x14ac:dyDescent="0.2">
      <c r="B25" s="16" t="s">
        <v>48</v>
      </c>
      <c r="C25" s="19">
        <f>E33+E42+E50+D56+J39+J55</f>
        <v>-0.8</v>
      </c>
      <c r="M25" s="15">
        <v>6.7510000000000003</v>
      </c>
    </row>
    <row r="26" spans="1:17" ht="13.5" thickBot="1" x14ac:dyDescent="0.25">
      <c r="B26" s="21" t="s">
        <v>49</v>
      </c>
      <c r="C26" s="22">
        <f>C24+C25</f>
        <v>8.6130675526024358</v>
      </c>
    </row>
    <row r="27" spans="1:17" ht="33.75" customHeight="1" x14ac:dyDescent="0.2"/>
    <row r="28" spans="1:17" ht="15.75" customHeight="1" thickBot="1" x14ac:dyDescent="0.25"/>
    <row r="29" spans="1:17" ht="18.75" x14ac:dyDescent="0.25">
      <c r="A29" s="1">
        <v>2</v>
      </c>
      <c r="B29" s="23" t="s">
        <v>50</v>
      </c>
      <c r="C29" s="24" t="s">
        <v>51</v>
      </c>
      <c r="D29" s="24" t="s">
        <v>52</v>
      </c>
      <c r="E29" s="25" t="s">
        <v>53</v>
      </c>
      <c r="F29" s="1">
        <v>6</v>
      </c>
      <c r="G29" s="23" t="s">
        <v>54</v>
      </c>
      <c r="H29" s="24" t="s">
        <v>51</v>
      </c>
      <c r="I29" s="24" t="s">
        <v>55</v>
      </c>
      <c r="J29" s="25" t="s">
        <v>53</v>
      </c>
      <c r="M29" s="58" t="str">
        <f>IF(C26&gt;H5,"G",IF(C26&gt;H7,"F",IF(C26&gt;H9,"E",IF(C26&gt;H11,"D",IF(C26&gt;H13,"C",IF(C26&gt;H15,"B","A"))))))</f>
        <v>C</v>
      </c>
    </row>
    <row r="30" spans="1:17" ht="26.25" customHeight="1" thickBot="1" x14ac:dyDescent="0.25">
      <c r="B30" s="16" t="s">
        <v>56</v>
      </c>
      <c r="C30" s="26">
        <v>-0.1</v>
      </c>
      <c r="D30" s="27">
        <v>0</v>
      </c>
      <c r="E30" s="19">
        <f t="shared" ref="E30:E32" si="0">C30*D30</f>
        <v>0</v>
      </c>
      <c r="G30" s="16" t="s">
        <v>57</v>
      </c>
      <c r="H30" s="26">
        <v>-0.1</v>
      </c>
      <c r="I30" s="27" t="s">
        <v>16</v>
      </c>
      <c r="J30" s="19">
        <f t="shared" ref="J30:J33" si="1">IF(I30="yes",H30,0)</f>
        <v>0</v>
      </c>
      <c r="M30" s="59"/>
    </row>
    <row r="31" spans="1:17" ht="12.75" x14ac:dyDescent="0.2">
      <c r="B31" s="16" t="s">
        <v>58</v>
      </c>
      <c r="C31" s="26">
        <v>-0.2</v>
      </c>
      <c r="D31" s="27">
        <v>0</v>
      </c>
      <c r="E31" s="19">
        <f t="shared" si="0"/>
        <v>0</v>
      </c>
      <c r="G31" s="16" t="s">
        <v>59</v>
      </c>
      <c r="H31" s="26">
        <v>-0.1</v>
      </c>
      <c r="I31" s="27" t="s">
        <v>16</v>
      </c>
      <c r="J31" s="19">
        <f t="shared" si="1"/>
        <v>0</v>
      </c>
    </row>
    <row r="32" spans="1:17" ht="12.75" x14ac:dyDescent="0.2">
      <c r="B32" s="16" t="s">
        <v>60</v>
      </c>
      <c r="C32" s="26">
        <v>-0.4</v>
      </c>
      <c r="D32" s="27">
        <v>0</v>
      </c>
      <c r="E32" s="19">
        <f t="shared" si="0"/>
        <v>0</v>
      </c>
      <c r="G32" s="16" t="s">
        <v>61</v>
      </c>
      <c r="H32" s="26">
        <v>-0.1</v>
      </c>
      <c r="I32" s="27" t="s">
        <v>16</v>
      </c>
      <c r="J32" s="19">
        <f t="shared" si="1"/>
        <v>0</v>
      </c>
    </row>
    <row r="33" spans="1:15" ht="13.5" thickBot="1" x14ac:dyDescent="0.25">
      <c r="B33" s="28"/>
      <c r="C33" s="29"/>
      <c r="D33" s="13" t="s">
        <v>62</v>
      </c>
      <c r="E33" s="30">
        <f>SUM(E30:E32)</f>
        <v>0</v>
      </c>
      <c r="G33" s="16" t="s">
        <v>63</v>
      </c>
      <c r="H33" s="26">
        <v>-0.2</v>
      </c>
      <c r="I33" s="27" t="s">
        <v>16</v>
      </c>
      <c r="J33" s="19">
        <f t="shared" si="1"/>
        <v>0</v>
      </c>
    </row>
    <row r="34" spans="1:15" ht="13.5" thickBot="1" x14ac:dyDescent="0.25">
      <c r="G34" s="16" t="s">
        <v>105</v>
      </c>
      <c r="H34" s="26">
        <v>-0.3</v>
      </c>
      <c r="I34" s="27" t="s">
        <v>16</v>
      </c>
      <c r="J34" s="19">
        <f>IF(I35="YES",0,IF(I34="yes",H34,0))</f>
        <v>0</v>
      </c>
    </row>
    <row r="35" spans="1:15" ht="18.75" x14ac:dyDescent="0.25">
      <c r="A35" s="1">
        <v>3</v>
      </c>
      <c r="B35" s="23" t="s">
        <v>64</v>
      </c>
      <c r="C35" s="24" t="s">
        <v>51</v>
      </c>
      <c r="D35" s="24" t="s">
        <v>55</v>
      </c>
      <c r="E35" s="25" t="s">
        <v>53</v>
      </c>
      <c r="G35" s="16" t="s">
        <v>104</v>
      </c>
      <c r="H35" s="26">
        <v>-0.4</v>
      </c>
      <c r="I35" s="27" t="s">
        <v>16</v>
      </c>
      <c r="J35" s="19">
        <f t="shared" ref="J35:J38" si="2">IF(I35="yes",H35,0)</f>
        <v>0</v>
      </c>
    </row>
    <row r="36" spans="1:15" ht="12.75" x14ac:dyDescent="0.2">
      <c r="B36" s="16" t="s">
        <v>65</v>
      </c>
      <c r="C36" s="26">
        <v>-0.1</v>
      </c>
      <c r="D36" s="27" t="s">
        <v>16</v>
      </c>
      <c r="E36" s="19">
        <f t="shared" ref="E36:E37" si="3">IF(D36="YES",C36,0)</f>
        <v>0</v>
      </c>
      <c r="G36" s="16" t="s">
        <v>66</v>
      </c>
      <c r="H36" s="26">
        <v>-0.2</v>
      </c>
      <c r="I36" s="27" t="s">
        <v>13</v>
      </c>
      <c r="J36" s="19">
        <f t="shared" si="2"/>
        <v>-0.2</v>
      </c>
    </row>
    <row r="37" spans="1:15" ht="12.75" x14ac:dyDescent="0.2">
      <c r="B37" s="16" t="s">
        <v>67</v>
      </c>
      <c r="C37" s="26">
        <v>-0.4</v>
      </c>
      <c r="D37" s="27" t="s">
        <v>16</v>
      </c>
      <c r="E37" s="19">
        <f t="shared" si="3"/>
        <v>0</v>
      </c>
      <c r="G37" s="16" t="s">
        <v>68</v>
      </c>
      <c r="H37" s="26">
        <v>-0.4</v>
      </c>
      <c r="I37" s="27" t="s">
        <v>16</v>
      </c>
      <c r="J37" s="19">
        <f t="shared" si="2"/>
        <v>0</v>
      </c>
    </row>
    <row r="38" spans="1:15" ht="12.75" x14ac:dyDescent="0.2">
      <c r="B38" s="16" t="s">
        <v>69</v>
      </c>
      <c r="C38" s="26">
        <v>-0.4</v>
      </c>
      <c r="D38" s="27" t="s">
        <v>16</v>
      </c>
      <c r="E38" s="19">
        <f>IF(D38="YES",IF(D41="Yes",0,C38),0)</f>
        <v>0</v>
      </c>
      <c r="G38" s="16" t="s">
        <v>70</v>
      </c>
      <c r="H38" s="26">
        <v>-0.8</v>
      </c>
      <c r="I38" s="27" t="s">
        <v>16</v>
      </c>
      <c r="J38" s="19">
        <f t="shared" si="2"/>
        <v>0</v>
      </c>
    </row>
    <row r="39" spans="1:15" ht="13.5" thickBot="1" x14ac:dyDescent="0.25">
      <c r="B39" s="16" t="s">
        <v>71</v>
      </c>
      <c r="C39" s="26">
        <v>-0.6</v>
      </c>
      <c r="D39" s="27" t="s">
        <v>16</v>
      </c>
      <c r="E39" s="19">
        <f t="shared" ref="E39:E41" si="4">IF(D39="YES",C39,0)</f>
        <v>0</v>
      </c>
      <c r="G39" s="28"/>
      <c r="H39" s="31"/>
      <c r="I39" s="13" t="s">
        <v>72</v>
      </c>
      <c r="J39" s="30">
        <f>SUM(J30:J38)</f>
        <v>-0.2</v>
      </c>
    </row>
    <row r="40" spans="1:15" ht="13.5" thickBot="1" x14ac:dyDescent="0.25">
      <c r="B40" s="16" t="s">
        <v>73</v>
      </c>
      <c r="C40" s="26">
        <v>-0.6</v>
      </c>
      <c r="D40" s="27" t="s">
        <v>16</v>
      </c>
      <c r="E40" s="19">
        <f t="shared" si="4"/>
        <v>0</v>
      </c>
    </row>
    <row r="41" spans="1:15" ht="18.75" x14ac:dyDescent="0.25">
      <c r="B41" s="16" t="s">
        <v>74</v>
      </c>
      <c r="C41" s="26">
        <v>-0.6</v>
      </c>
      <c r="D41" s="27" t="s">
        <v>16</v>
      </c>
      <c r="E41" s="19">
        <f t="shared" si="4"/>
        <v>0</v>
      </c>
      <c r="F41" s="1">
        <v>7</v>
      </c>
      <c r="G41" s="32" t="s">
        <v>75</v>
      </c>
      <c r="H41" s="33" t="str">
        <f t="shared" ref="H41:J41" si="5">IF($C$20="NO",M41,"")</f>
        <v>P:W penalty</v>
      </c>
      <c r="I41" s="33" t="str">
        <f t="shared" si="5"/>
        <v>Yes/No</v>
      </c>
      <c r="J41" s="34" t="str">
        <f t="shared" si="5"/>
        <v>Modifier</v>
      </c>
      <c r="L41" s="35" t="s">
        <v>76</v>
      </c>
      <c r="M41" s="9" t="s">
        <v>51</v>
      </c>
      <c r="N41" s="9" t="s">
        <v>55</v>
      </c>
      <c r="O41" s="9" t="s">
        <v>53</v>
      </c>
    </row>
    <row r="42" spans="1:15" ht="13.5" thickBot="1" x14ac:dyDescent="0.25">
      <c r="B42" s="28"/>
      <c r="C42" s="31"/>
      <c r="D42" s="36" t="s">
        <v>77</v>
      </c>
      <c r="E42" s="30">
        <f>SUM(E36:E41)</f>
        <v>0</v>
      </c>
      <c r="G42" s="18" t="str">
        <f t="shared" ref="G42:G54" si="6">IF(C$20="NO",L42,"")</f>
        <v>Header swap or modification</v>
      </c>
      <c r="H42" s="37">
        <f t="shared" ref="H42:H54" si="7">IF($C$20="NO",M42,"")</f>
        <v>-0.15</v>
      </c>
      <c r="I42" s="38" t="s">
        <v>16</v>
      </c>
      <c r="J42" s="19">
        <f t="shared" ref="J42:J54" si="8">IF($C$20="NO",O42,"")</f>
        <v>0</v>
      </c>
      <c r="L42" s="9" t="s">
        <v>78</v>
      </c>
      <c r="M42" s="9">
        <v>-0.15</v>
      </c>
      <c r="O42" s="39">
        <f t="shared" ref="O42:O54" si="9">IF(I42="YES",M42,0)</f>
        <v>0</v>
      </c>
    </row>
    <row r="43" spans="1:15" ht="13.5" thickBot="1" x14ac:dyDescent="0.25">
      <c r="G43" s="18" t="str">
        <f t="shared" si="6"/>
        <v>Injector/carburetor swap or modification</v>
      </c>
      <c r="H43" s="37">
        <f t="shared" si="7"/>
        <v>-0.2</v>
      </c>
      <c r="I43" s="38" t="s">
        <v>16</v>
      </c>
      <c r="J43" s="19">
        <f t="shared" si="8"/>
        <v>0</v>
      </c>
      <c r="L43" s="9" t="s">
        <v>79</v>
      </c>
      <c r="M43" s="9">
        <v>-0.2</v>
      </c>
      <c r="O43" s="39">
        <f t="shared" si="9"/>
        <v>0</v>
      </c>
    </row>
    <row r="44" spans="1:15" ht="18.75" x14ac:dyDescent="0.25">
      <c r="A44" s="1">
        <v>4</v>
      </c>
      <c r="B44" s="23" t="s">
        <v>80</v>
      </c>
      <c r="C44" s="24" t="s">
        <v>51</v>
      </c>
      <c r="D44" s="24" t="s">
        <v>55</v>
      </c>
      <c r="E44" s="25" t="s">
        <v>53</v>
      </c>
      <c r="G44" s="18" t="str">
        <f t="shared" si="6"/>
        <v>intake manifold swap or modification</v>
      </c>
      <c r="H44" s="37">
        <f t="shared" si="7"/>
        <v>-0.25</v>
      </c>
      <c r="I44" s="38" t="s">
        <v>16</v>
      </c>
      <c r="J44" s="19">
        <f t="shared" si="8"/>
        <v>0</v>
      </c>
      <c r="L44" s="9" t="s">
        <v>81</v>
      </c>
      <c r="M44" s="9">
        <v>-0.25</v>
      </c>
      <c r="O44" s="39">
        <f t="shared" si="9"/>
        <v>0</v>
      </c>
    </row>
    <row r="45" spans="1:15" ht="12.75" x14ac:dyDescent="0.2">
      <c r="B45" s="16" t="s">
        <v>82</v>
      </c>
      <c r="C45" s="26">
        <v>-0.2</v>
      </c>
      <c r="D45" s="27" t="s">
        <v>16</v>
      </c>
      <c r="E45" s="40">
        <f t="shared" ref="E45:E46" si="10">IF(D45="YES",C45,0)</f>
        <v>0</v>
      </c>
      <c r="G45" s="18" t="str">
        <f t="shared" si="6"/>
        <v>performance cam or regrind</v>
      </c>
      <c r="H45" s="37">
        <f t="shared" si="7"/>
        <v>-0.3</v>
      </c>
      <c r="I45" s="38" t="s">
        <v>16</v>
      </c>
      <c r="J45" s="19">
        <f t="shared" si="8"/>
        <v>0</v>
      </c>
      <c r="L45" s="9" t="s">
        <v>83</v>
      </c>
      <c r="M45" s="9">
        <v>-0.3</v>
      </c>
      <c r="O45" s="39">
        <f t="shared" si="9"/>
        <v>0</v>
      </c>
    </row>
    <row r="46" spans="1:15" ht="12.75" x14ac:dyDescent="0.2">
      <c r="B46" s="16" t="s">
        <v>84</v>
      </c>
      <c r="C46" s="26">
        <v>-0.2</v>
      </c>
      <c r="D46" s="27" t="s">
        <v>16</v>
      </c>
      <c r="E46" s="40">
        <f t="shared" si="10"/>
        <v>0</v>
      </c>
      <c r="G46" s="18" t="str">
        <f t="shared" si="6"/>
        <v>oversized valves</v>
      </c>
      <c r="H46" s="37">
        <f t="shared" si="7"/>
        <v>-0.3</v>
      </c>
      <c r="I46" s="38" t="s">
        <v>16</v>
      </c>
      <c r="J46" s="19">
        <f t="shared" si="8"/>
        <v>0</v>
      </c>
      <c r="L46" s="9" t="s">
        <v>85</v>
      </c>
      <c r="M46" s="9">
        <v>-0.3</v>
      </c>
      <c r="O46" s="39">
        <f t="shared" si="9"/>
        <v>0</v>
      </c>
    </row>
    <row r="47" spans="1:15" ht="12.75" x14ac:dyDescent="0.2">
      <c r="B47" s="16" t="s">
        <v>86</v>
      </c>
      <c r="C47" s="26">
        <v>-0.6</v>
      </c>
      <c r="D47" s="27" t="s">
        <v>16</v>
      </c>
      <c r="E47" s="40">
        <f>IF(D48="YES",0,IF(D47="YES",C47,0))</f>
        <v>0</v>
      </c>
      <c r="G47" s="18" t="str">
        <f t="shared" si="6"/>
        <v>stroke increase</v>
      </c>
      <c r="H47" s="37">
        <f t="shared" si="7"/>
        <v>-0.4</v>
      </c>
      <c r="I47" s="38" t="s">
        <v>16</v>
      </c>
      <c r="J47" s="19">
        <f t="shared" si="8"/>
        <v>0</v>
      </c>
      <c r="L47" s="9" t="s">
        <v>87</v>
      </c>
      <c r="M47" s="9">
        <v>-0.4</v>
      </c>
      <c r="O47" s="39">
        <f t="shared" si="9"/>
        <v>0</v>
      </c>
    </row>
    <row r="48" spans="1:15" ht="12.75" x14ac:dyDescent="0.2">
      <c r="B48" s="16" t="s">
        <v>88</v>
      </c>
      <c r="C48" s="26">
        <v>-0.6</v>
      </c>
      <c r="D48" s="27" t="s">
        <v>16</v>
      </c>
      <c r="E48" s="40">
        <f t="shared" ref="E48:E49" si="11">IF(D48="YES",C48,0)</f>
        <v>0</v>
      </c>
      <c r="G48" s="18" t="str">
        <f t="shared" si="6"/>
        <v>compression ratio increase</v>
      </c>
      <c r="H48" s="37">
        <f t="shared" si="7"/>
        <v>-0.4</v>
      </c>
      <c r="I48" s="38" t="s">
        <v>16</v>
      </c>
      <c r="J48" s="19">
        <f t="shared" si="8"/>
        <v>0</v>
      </c>
      <c r="L48" s="9" t="s">
        <v>89</v>
      </c>
      <c r="M48" s="9">
        <v>-0.4</v>
      </c>
      <c r="O48" s="39">
        <f t="shared" si="9"/>
        <v>0</v>
      </c>
    </row>
    <row r="49" spans="1:15" ht="12.75" x14ac:dyDescent="0.2">
      <c r="B49" s="16" t="s">
        <v>90</v>
      </c>
      <c r="C49" s="26">
        <v>-0.8</v>
      </c>
      <c r="D49" s="27" t="s">
        <v>16</v>
      </c>
      <c r="E49" s="40">
        <f t="shared" si="11"/>
        <v>0</v>
      </c>
      <c r="G49" s="18" t="str">
        <f t="shared" si="6"/>
        <v>overbore (0.060+ over)</v>
      </c>
      <c r="H49" s="37">
        <f t="shared" si="7"/>
        <v>-0.4</v>
      </c>
      <c r="I49" s="38" t="s">
        <v>16</v>
      </c>
      <c r="J49" s="19">
        <f t="shared" si="8"/>
        <v>0</v>
      </c>
      <c r="L49" s="9" t="s">
        <v>91</v>
      </c>
      <c r="M49" s="9">
        <v>-0.4</v>
      </c>
      <c r="O49" s="39">
        <f t="shared" si="9"/>
        <v>0</v>
      </c>
    </row>
    <row r="50" spans="1:15" ht="13.5" thickBot="1" x14ac:dyDescent="0.25">
      <c r="B50" s="28"/>
      <c r="C50" s="31"/>
      <c r="D50" s="13" t="s">
        <v>92</v>
      </c>
      <c r="E50" s="14">
        <f>SUM(E45:E49)</f>
        <v>0</v>
      </c>
      <c r="G50" s="18" t="str">
        <f t="shared" si="6"/>
        <v>head porting</v>
      </c>
      <c r="H50" s="37">
        <f t="shared" si="7"/>
        <v>-0.5</v>
      </c>
      <c r="I50" s="38" t="s">
        <v>16</v>
      </c>
      <c r="J50" s="19">
        <f t="shared" si="8"/>
        <v>0</v>
      </c>
      <c r="L50" s="9" t="s">
        <v>93</v>
      </c>
      <c r="M50" s="9">
        <v>-0.5</v>
      </c>
      <c r="O50" s="39">
        <f t="shared" si="9"/>
        <v>0</v>
      </c>
    </row>
    <row r="51" spans="1:15" ht="13.5" thickBot="1" x14ac:dyDescent="0.25">
      <c r="G51" s="18" t="str">
        <f t="shared" si="6"/>
        <v>head swap</v>
      </c>
      <c r="H51" s="37">
        <f t="shared" si="7"/>
        <v>-0.5</v>
      </c>
      <c r="I51" s="38" t="s">
        <v>16</v>
      </c>
      <c r="J51" s="19">
        <f t="shared" si="8"/>
        <v>0</v>
      </c>
      <c r="L51" s="9" t="s">
        <v>94</v>
      </c>
      <c r="M51" s="9">
        <v>-0.5</v>
      </c>
      <c r="O51" s="39">
        <f t="shared" si="9"/>
        <v>0</v>
      </c>
    </row>
    <row r="52" spans="1:15" ht="18.75" x14ac:dyDescent="0.25">
      <c r="A52" s="1">
        <v>5</v>
      </c>
      <c r="B52" s="23" t="s">
        <v>95</v>
      </c>
      <c r="C52" s="33"/>
      <c r="D52" s="25" t="s">
        <v>53</v>
      </c>
      <c r="G52" s="18" t="str">
        <f t="shared" si="6"/>
        <v>programmable, flashed, or chipped ECU/Tune on a NATURALLY ASPIRATED ENGINE</v>
      </c>
      <c r="H52" s="37">
        <f t="shared" si="7"/>
        <v>-0.75</v>
      </c>
      <c r="I52" s="38" t="s">
        <v>16</v>
      </c>
      <c r="J52" s="19">
        <f t="shared" si="8"/>
        <v>0</v>
      </c>
      <c r="L52" s="9" t="s">
        <v>96</v>
      </c>
      <c r="M52" s="9">
        <v>-0.75</v>
      </c>
      <c r="O52" s="39">
        <f t="shared" si="9"/>
        <v>0</v>
      </c>
    </row>
    <row r="53" spans="1:15" ht="12.75" x14ac:dyDescent="0.2">
      <c r="B53" s="16" t="s">
        <v>97</v>
      </c>
      <c r="C53" s="27">
        <v>315</v>
      </c>
      <c r="D53" s="19">
        <f>IF(C54&lt;8,-1.2,IF(C54&lt;11,-0.6,0))</f>
        <v>-0.6</v>
      </c>
      <c r="G53" s="18" t="str">
        <f t="shared" si="6"/>
        <v>programmable, flashed, or chipped ECU/Tune on a STOCK TURBO/SUPERCHARGED ENGINE up to 5psi over stock</v>
      </c>
      <c r="H53" s="37">
        <f t="shared" si="7"/>
        <v>-1</v>
      </c>
      <c r="I53" s="38" t="s">
        <v>16</v>
      </c>
      <c r="J53" s="19">
        <f t="shared" si="8"/>
        <v>0</v>
      </c>
      <c r="L53" s="9" t="s">
        <v>106</v>
      </c>
      <c r="M53" s="9">
        <v>-1</v>
      </c>
      <c r="O53" s="39">
        <f t="shared" si="9"/>
        <v>0</v>
      </c>
    </row>
    <row r="54" spans="1:15" ht="12.75" x14ac:dyDescent="0.2">
      <c r="B54" s="16" t="s">
        <v>98</v>
      </c>
      <c r="C54" s="60">
        <f>C19/C53</f>
        <v>10.793650793650794</v>
      </c>
      <c r="D54" s="61"/>
      <c r="G54" s="18" t="str">
        <f t="shared" si="6"/>
        <v>Forced induction added to naturally aspirated vehicle and/or programmable flashed or 
chipped ECU/Tune with no boost limits (dyno classing strongly preferred)</v>
      </c>
      <c r="H54" s="37">
        <f t="shared" si="7"/>
        <v>-8</v>
      </c>
      <c r="I54" s="38" t="s">
        <v>16</v>
      </c>
      <c r="J54" s="19">
        <f t="shared" si="8"/>
        <v>0</v>
      </c>
      <c r="L54" s="9" t="s">
        <v>99</v>
      </c>
      <c r="M54" s="9">
        <v>-8</v>
      </c>
      <c r="O54" s="39">
        <f t="shared" si="9"/>
        <v>0</v>
      </c>
    </row>
    <row r="55" spans="1:15" ht="13.5" thickBot="1" x14ac:dyDescent="0.25">
      <c r="B55" s="16" t="s">
        <v>100</v>
      </c>
      <c r="C55" s="27" t="s">
        <v>25</v>
      </c>
      <c r="D55" s="19">
        <f>IF(C55="200 or higher",0,IF(C55="199-100",-0.3,IF(C55="99-40",-0.7,IF(C55="Non-DOT/Hoosier A7",-1.5,"Error"))))</f>
        <v>0</v>
      </c>
      <c r="G55" s="41"/>
      <c r="H55" s="42"/>
      <c r="I55" s="31" t="str">
        <f t="shared" ref="I55" si="12">IF($C$20="NO",N55,"")</f>
        <v>total engine</v>
      </c>
      <c r="J55" s="30">
        <f>IF($C$20="NO",O55,"0")</f>
        <v>0</v>
      </c>
      <c r="N55" s="1" t="s">
        <v>101</v>
      </c>
      <c r="O55" s="39">
        <f>SUM(O42:O54)</f>
        <v>0</v>
      </c>
    </row>
    <row r="56" spans="1:15" ht="13.5" thickBot="1" x14ac:dyDescent="0.25">
      <c r="B56" s="28"/>
      <c r="C56" s="13" t="s">
        <v>102</v>
      </c>
      <c r="D56" s="30">
        <f>SUM(D53:D55)</f>
        <v>-0.6</v>
      </c>
    </row>
    <row r="57" spans="1:15" ht="12.75" x14ac:dyDescent="0.2"/>
    <row r="58" spans="1:15" ht="12.75" hidden="1" x14ac:dyDescent="0.2"/>
    <row r="59" spans="1:15" ht="12.75" hidden="1" x14ac:dyDescent="0.2"/>
    <row r="60" spans="1:15" ht="12.75" hidden="1" x14ac:dyDescent="0.2"/>
    <row r="61" spans="1:15" ht="12.75" hidden="1" x14ac:dyDescent="0.2"/>
    <row r="62" spans="1:15" ht="12.75" hidden="1" x14ac:dyDescent="0.2"/>
    <row r="63" spans="1:15" ht="12.75" hidden="1" x14ac:dyDescent="0.2"/>
    <row r="64" spans="1:15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  <row r="975" ht="12.75" hidden="1" x14ac:dyDescent="0.2"/>
    <row r="976" ht="12.75" hidden="1" x14ac:dyDescent="0.2"/>
    <row r="977" ht="12.75" hidden="1" x14ac:dyDescent="0.2"/>
    <row r="978" ht="12.75" hidden="1" x14ac:dyDescent="0.2"/>
    <row r="979" ht="12.75" hidden="1" x14ac:dyDescent="0.2"/>
    <row r="980" ht="12.75" hidden="1" x14ac:dyDescent="0.2"/>
    <row r="981" ht="12.75" hidden="1" x14ac:dyDescent="0.2"/>
    <row r="982" ht="12.75" hidden="1" x14ac:dyDescent="0.2"/>
    <row r="983" ht="12.75" hidden="1" x14ac:dyDescent="0.2"/>
    <row r="984" ht="12.75" hidden="1" x14ac:dyDescent="0.2"/>
    <row r="985" ht="12.75" hidden="1" x14ac:dyDescent="0.2"/>
    <row r="986" ht="12.75" hidden="1" x14ac:dyDescent="0.2"/>
    <row r="987" ht="12.75" hidden="1" x14ac:dyDescent="0.2"/>
    <row r="988" ht="12.75" hidden="1" x14ac:dyDescent="0.2"/>
    <row r="989" ht="12.75" hidden="1" x14ac:dyDescent="0.2"/>
    <row r="990" ht="12.75" hidden="1" x14ac:dyDescent="0.2"/>
    <row r="991" ht="12.75" hidden="1" x14ac:dyDescent="0.2"/>
    <row r="992" ht="12.75" hidden="1" x14ac:dyDescent="0.2"/>
    <row r="993" ht="12.75" hidden="1" x14ac:dyDescent="0.2"/>
    <row r="994" ht="12.75" hidden="1" x14ac:dyDescent="0.2"/>
    <row r="995" ht="12.75" hidden="1" x14ac:dyDescent="0.2"/>
    <row r="996" ht="12.75" hidden="1" x14ac:dyDescent="0.2"/>
    <row r="997" ht="12.75" hidden="1" x14ac:dyDescent="0.2"/>
    <row r="998" ht="12.75" hidden="1" x14ac:dyDescent="0.2"/>
    <row r="999" ht="12.75" hidden="1" x14ac:dyDescent="0.2"/>
    <row r="1000" ht="12.75" hidden="1" x14ac:dyDescent="0.2"/>
  </sheetData>
  <sheetProtection selectLockedCells="1"/>
  <protectedRanges>
    <protectedRange sqref="A58:XFD1048576 C19:C22 D30:D32 D36:D41 D45:D49 C53 C55 I30:I38" name="Fillable fields"/>
  </protectedRanges>
  <mergeCells count="13">
    <mergeCell ref="B1:B3"/>
    <mergeCell ref="B17:C18"/>
    <mergeCell ref="G5:G6"/>
    <mergeCell ref="G3:G4"/>
    <mergeCell ref="M29:M30"/>
    <mergeCell ref="C54:D54"/>
    <mergeCell ref="G9:G10"/>
    <mergeCell ref="G7:G8"/>
    <mergeCell ref="G1:H1"/>
    <mergeCell ref="G2:H2"/>
    <mergeCell ref="G15:G16"/>
    <mergeCell ref="G13:G14"/>
    <mergeCell ref="G11:G12"/>
  </mergeCells>
  <conditionalFormatting sqref="M29 G22 B17">
    <cfRule type="expression" dxfId="6" priority="7">
      <formula>$M$29="B"</formula>
    </cfRule>
  </conditionalFormatting>
  <conditionalFormatting sqref="M29 G22 B17">
    <cfRule type="expression" dxfId="5" priority="10">
      <formula>$M$29="G"</formula>
    </cfRule>
  </conditionalFormatting>
  <conditionalFormatting sqref="M29 G22 B17">
    <cfRule type="expression" dxfId="4" priority="13">
      <formula>$M$29="F"</formula>
    </cfRule>
  </conditionalFormatting>
  <conditionalFormatting sqref="M29 G22 B17">
    <cfRule type="expression" dxfId="3" priority="16">
      <formula>$M$29="E"</formula>
    </cfRule>
  </conditionalFormatting>
  <conditionalFormatting sqref="M29 G22 B17">
    <cfRule type="expression" dxfId="2" priority="19">
      <formula>$M$29="D"</formula>
    </cfRule>
  </conditionalFormatting>
  <conditionalFormatting sqref="M29 G22 B17">
    <cfRule type="expression" dxfId="1" priority="22">
      <formula>$M$29="C"</formula>
    </cfRule>
  </conditionalFormatting>
  <conditionalFormatting sqref="M29 G22 B17">
    <cfRule type="expression" dxfId="0" priority="25">
      <formula>$M$29="A"</formula>
    </cfRule>
  </conditionalFormatting>
  <dataValidations count="4">
    <dataValidation type="list" allowBlank="1" showErrorMessage="1" sqref="C55" xr:uid="{00000000-0002-0000-0000-000000000000}">
      <formula1>$M$10:$M$13</formula1>
    </dataValidation>
    <dataValidation type="list" allowBlank="1" showErrorMessage="1" sqref="C22" xr:uid="{00000000-0002-0000-0000-000001000000}">
      <formula1>$N$5:$N$7</formula1>
    </dataValidation>
    <dataValidation type="list" allowBlank="1" showErrorMessage="1" sqref="C20" xr:uid="{00000000-0002-0000-0000-000002000000}">
      <formula1>$M$5:$M$6</formula1>
    </dataValidation>
    <dataValidation type="list" allowBlank="1" showErrorMessage="1" sqref="I30:I38 D36:D41 D45:D49 I42:I54" xr:uid="{00000000-0002-0000-0000-000003000000}">
      <formula1>"YES,NO"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"/>
  <sheetViews>
    <sheetView workbookViewId="0"/>
  </sheetViews>
  <sheetFormatPr defaultColWidth="12.5703125" defaultRowHeight="15.75" customHeight="1" x14ac:dyDescent="0.2"/>
  <sheetData>
    <row r="1" spans="1:1" x14ac:dyDescent="0.2">
      <c r="A1" s="15" t="e">
        <f>ModelSheet=Sheet1!A:Z</f>
        <v>#NAME?</v>
      </c>
    </row>
    <row r="2" spans="1:1" x14ac:dyDescent="0.2">
      <c r="A2" s="15" t="e">
        <f>OpenSolver_AdjNum=0</f>
        <v>#NAME?</v>
      </c>
    </row>
    <row r="3" spans="1:1" x14ac:dyDescent="0.2">
      <c r="A3" s="15" t="e">
        <f>OpenSolver_ChosenSolver=Google</f>
        <v>#NAME?</v>
      </c>
    </row>
    <row r="4" spans="1:1" x14ac:dyDescent="0.2">
      <c r="A4" s="15" t="e">
        <f>OpenSolver_FastBuild=0</f>
        <v>#NAME?</v>
      </c>
    </row>
    <row r="5" spans="1:1" x14ac:dyDescent="0.2">
      <c r="A5" s="15" t="e">
        <f>OpenSolver_LinearityCheck=1</f>
        <v>#NAME?</v>
      </c>
    </row>
    <row r="6" spans="1:1" x14ac:dyDescent="0.2">
      <c r="A6" s="15" t="e">
        <f>solver_neg=1</f>
        <v>#NAME?</v>
      </c>
    </row>
    <row r="7" spans="1:1" x14ac:dyDescent="0.2">
      <c r="A7" s="15" t="e">
        <f>solver_num=0</f>
        <v>#NAME?</v>
      </c>
    </row>
    <row r="8" spans="1:1" x14ac:dyDescent="0.2">
      <c r="A8" s="15" t="e">
        <f>solver_sho=1</f>
        <v>#NAME?</v>
      </c>
    </row>
    <row r="9" spans="1:1" x14ac:dyDescent="0.2">
      <c r="A9" s="15" t="e">
        <f>solver_typ=2</f>
        <v>#NAME?</v>
      </c>
    </row>
    <row r="10" spans="1:1" x14ac:dyDescent="0.2">
      <c r="A10" s="15" t="e">
        <f>solver_val=0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__OpenSolver__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Sebelski, Matt</dc:creator>
  <cp:lastModifiedBy>Sebelski, Matt</cp:lastModifiedBy>
  <dcterms:created xsi:type="dcterms:W3CDTF">2025-04-22T21:02:00Z</dcterms:created>
  <dcterms:modified xsi:type="dcterms:W3CDTF">2025-05-02T16:07:28Z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2025-04-23T01:34:24Z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dda127c8-954f-4723-ab19-f15df4efd261</vt:lpwstr>
  </property>
  <property fmtid="{D5CDD505-2E9C-101B-9397-08002B2CF9AE}" pid="8" name="MSIP_Label_8afd4f73-fada-4b37-96db-6e01034f2850_ContentBits">
    <vt:lpwstr>0</vt:lpwstr>
  </property>
</Properties>
</file>